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defaultThemeVersion="166925"/>
  <mc:AlternateContent xmlns:mc="http://schemas.openxmlformats.org/markup-compatibility/2006">
    <mc:Choice Requires="x15">
      <x15ac:absPath xmlns:x15ac="http://schemas.microsoft.com/office/spreadsheetml/2010/11/ac" url="G:\Documents\Businesses\Parks Bookkeeping\Clients\Payroll\"/>
    </mc:Choice>
  </mc:AlternateContent>
  <xr:revisionPtr revIDLastSave="0" documentId="13_ncr:1_{AAD6FB83-29D4-4FC6-BD60-3F6E9AE2E3BE}" xr6:coauthVersionLast="28" xr6:coauthVersionMax="28" xr10:uidLastSave="{00000000-0000-0000-0000-000000000000}"/>
  <bookViews>
    <workbookView xWindow="0" yWindow="0" windowWidth="21600" windowHeight="10950" xr2:uid="{83B57FCE-F151-41A0-B58A-3BB43CC6338E}"/>
  </bookViews>
  <sheets>
    <sheet name="Introduction" sheetId="4" r:id="rId1"/>
    <sheet name="Calculator" sheetId="1" r:id="rId2"/>
    <sheet name="Rates and Allowances 2018-19" sheetId="2" r:id="rId3"/>
    <sheet name="Dividends" sheetId="3" state="hidden" r:id="rId4"/>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 l="1"/>
  <c r="B12" i="1" s="1"/>
  <c r="L8" i="3"/>
  <c r="L10" i="3" s="1"/>
  <c r="J8" i="3"/>
  <c r="J10" i="3" s="1"/>
  <c r="H8" i="3"/>
  <c r="H10" i="3" s="1"/>
  <c r="F8" i="3"/>
  <c r="F10" i="3" s="1"/>
  <c r="D8" i="3"/>
  <c r="D10" i="3" s="1"/>
  <c r="B8" i="3"/>
  <c r="H6" i="3"/>
  <c r="L6" i="3"/>
  <c r="J6" i="3"/>
  <c r="D6" i="3"/>
  <c r="B6" i="3"/>
  <c r="B10" i="3" l="1"/>
  <c r="P10" i="3" s="1"/>
  <c r="B14" i="1" s="1"/>
  <c r="B12" i="3"/>
  <c r="B14" i="3" s="1"/>
  <c r="N8" i="3"/>
  <c r="B24" i="1"/>
  <c r="B28" i="1" s="1"/>
  <c r="B30" i="1" s="1"/>
  <c r="B16" i="1"/>
  <c r="B10" i="1"/>
  <c r="D12" i="3" l="1"/>
  <c r="F12" i="3" s="1"/>
  <c r="H12" i="3" s="1"/>
  <c r="J12" i="3" l="1"/>
  <c r="F14" i="3"/>
  <c r="D14" i="3"/>
  <c r="H14" i="3" l="1"/>
  <c r="J14" i="3"/>
  <c r="L12" i="3" l="1"/>
  <c r="L14" i="3" s="1"/>
  <c r="P14" i="3" s="1"/>
  <c r="P16" i="3" l="1"/>
  <c r="B18" i="1"/>
  <c r="B20" i="1" s="1"/>
  <c r="B22" i="1" s="1"/>
  <c r="N12" i="3" l="1"/>
  <c r="N16" i="3" s="1"/>
</calcChain>
</file>

<file path=xl/sharedStrings.xml><?xml version="1.0" encoding="utf-8"?>
<sst xmlns="http://schemas.openxmlformats.org/spreadsheetml/2006/main" count="78" uniqueCount="73">
  <si>
    <t>2018/19</t>
  </si>
  <si>
    <t>2018/19 Tax Rates</t>
  </si>
  <si>
    <t>Enter Gross Salary</t>
  </si>
  <si>
    <t>Enter Dividends</t>
  </si>
  <si>
    <t>Your Total Income</t>
  </si>
  <si>
    <t>Your Total Taxable Income</t>
  </si>
  <si>
    <t>Tax On Salary</t>
  </si>
  <si>
    <t>Employees NIC (Paid by You)</t>
  </si>
  <si>
    <t>Extra Tax to pay on dividends</t>
  </si>
  <si>
    <t>Total Tax &amp; NICs</t>
  </si>
  <si>
    <t>Your Take Home Pay</t>
  </si>
  <si>
    <t>Employers NIC (Paid by Company)</t>
  </si>
  <si>
    <t>National Insurance Contributions (NICs)</t>
  </si>
  <si>
    <t>PAYE - Pay as You Earn (Tax)</t>
  </si>
  <si>
    <t>Rates and Allowances 2018/19</t>
  </si>
  <si>
    <t>Personal Allowance</t>
  </si>
  <si>
    <t>Basic Rate</t>
  </si>
  <si>
    <t>Higher Rate</t>
  </si>
  <si>
    <t>Basic Rate Band</t>
  </si>
  <si>
    <t>Higher Rate Band</t>
  </si>
  <si>
    <t>Additional Rate</t>
  </si>
  <si>
    <t>Additional Rate Band</t>
  </si>
  <si>
    <t>Personal Allowance Taper</t>
  </si>
  <si>
    <t>Upper Earnings Limit (UEL)</t>
  </si>
  <si>
    <t>Rate for earnings above PT up to and including UEL</t>
  </si>
  <si>
    <t>Balance of earnings above UEL</t>
  </si>
  <si>
    <t>Employee Rates:</t>
  </si>
  <si>
    <t>Employer Rates:</t>
  </si>
  <si>
    <t>Primary Threshold (PT)/Secondary Threshold (ST)</t>
  </si>
  <si>
    <t>Dividend Income</t>
  </si>
  <si>
    <t>Dividend Allowance</t>
  </si>
  <si>
    <t>Ordinary Tax Rate</t>
  </si>
  <si>
    <t>Upper Rate</t>
  </si>
  <si>
    <t>Salary and Dividends Calculator for Limited Company Directors</t>
  </si>
  <si>
    <t>Starting Band</t>
  </si>
  <si>
    <t>Higher Band</t>
  </si>
  <si>
    <t>Additional Band</t>
  </si>
  <si>
    <t>Greater than</t>
  </si>
  <si>
    <t>Gross Salary</t>
  </si>
  <si>
    <t>Dividends</t>
  </si>
  <si>
    <t>If total income to</t>
  </si>
  <si>
    <t>Tax on Salary</t>
  </si>
  <si>
    <t>Tax on Dividends</t>
  </si>
  <si>
    <t>Tax Calculator</t>
  </si>
  <si>
    <t>Your Taxable Dividends</t>
  </si>
  <si>
    <t>Total Taxable Pay</t>
  </si>
  <si>
    <t>Total Taxation</t>
  </si>
  <si>
    <t>Please input a value for employment income in the box - this should be close to the personal allowance of £11850 for tax efficiency</t>
  </si>
  <si>
    <t>Please input a value for dividends - dividends are paid out of profit after corporation tax has been paid so this figure should be below that figure</t>
  </si>
  <si>
    <t>Personal Pension Contributions (Paid by Company)</t>
  </si>
  <si>
    <t>Total company expenditure</t>
  </si>
  <si>
    <t>Corporation tax saving</t>
  </si>
  <si>
    <t>Please input a value for personal pension contributions paid on your behalf by the company to the value of £40,000 annually</t>
  </si>
  <si>
    <t>Parks Bookkeeping Services - Director's Tax Calculator</t>
  </si>
  <si>
    <t>Welcome Friend</t>
  </si>
  <si>
    <t>Please find the tax calculator for 2018/19 on the next page of this workbook. The pages are protected in order to make sure that the formulas are never compromised whilst allowing you to keep checking up on your take home income over the coming tax year. Director's of private limited companies are in a unique position, take home employment pay is flexible so that if profits start to dry up towards the end of the year, dividends can be decreased and income increased; it just means you end up paying a bit more tax and national insurance from your wage.</t>
  </si>
  <si>
    <t>There are some important considerations to make before entering any information into the calculator:</t>
  </si>
  <si>
    <t>1) If the limited company earns a good profit year on year then take a basic salary close to the personal allowance and above the national insurance threashold of £8424 for 2018/19. This will keep PAYE tax to an absolute minimum and will ensure that your national insurance 'stamp' is paid annually to safeguard future benefits, i.e. state pension, statutory payments like parenting and sick pay, and other state benefits such as the childcare scheme.</t>
  </si>
  <si>
    <t>2) Dividends are payable out of company profits after taxation, in particular corporation tax, have been deducted. This therefore means that you are only entitled to make a claim for dividends to the value of the profits that are left in the pot once all of your financial obligations to HMRC have been met. If you therefore have a take home figure in mind and you know that distributable profits will be low then you need to keep the dividend figure under the expceted net profit and increase the salary made to you. You will end up paying more in PAYE and National Insurance contributions but this is better than having a negative director's loan account. Currently, loans to directors have to be paid back to the company within 9 months of the year end in order to ensure no further taxation is due on the amount outstanding, plus you will be expected to pay this in advance to HMRC until the loan has been paid back to the company within the specified time alllowed. If not, then further taxation applies.</t>
  </si>
  <si>
    <t>3) All employees are entitled to auto enrolment pensions, however, this will not be as beneficial than paying into your own personal pension pot. In this case, director led companies, who do not have to implement auto enrolment, or director's who employ staff and do have to implement the scheme, should consider having company pension contributions paid into personal pension schemes instead. Each director is allowed to benefit from £40,000 of company contributions paid into their personal pension annually.</t>
  </si>
  <si>
    <t>4) The taxation payable and corporation tax savings calculated are for illustration purposes only, as they do not take into consideration personal circumstance as well as any of the following, (not an exhaustive list):</t>
  </si>
  <si>
    <t>kim@parksbookkeeping.co.uk.</t>
  </si>
  <si>
    <t>kim@parksbookkeeping.co.uk</t>
  </si>
  <si>
    <t xml:space="preserve">We hope you find this calculator helpful, if you have any questions or are looking for further help, then please don't hesitate to contact </t>
  </si>
  <si>
    <t>www.parksbookkeeping.co.uk</t>
  </si>
  <si>
    <t>Every best wish to you and your company throughout the coming year,</t>
  </si>
  <si>
    <t>The team at Parks Bookkeeping Services</t>
  </si>
  <si>
    <t>a) Personal pension contributions, not company contributions, which would allow for a reduction in tax and NICs payable;</t>
  </si>
  <si>
    <t>b) Any benefits in kind that you may receive;</t>
  </si>
  <si>
    <t>c) Any state benefits that need to be accounted for as part of your income at year end;</t>
  </si>
  <si>
    <t>d) Any savings interest or dividend income you may receive from UK banks and other companies;</t>
  </si>
  <si>
    <t>e) For companies - does not take any Employers NIC Allowance into consideration if you employ more than one person.</t>
  </si>
  <si>
    <t>The last page of the workbook shows the rates and allowances for this coming tax year 2018/19, so you'll be able to have a look at rates you'll be charged on employment and dividend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</si>
</sst>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quot;£&quot;#,##0.00"/>
    <numFmt numFmtId="167" formatCode="&quot;£&quot;#,##0"/>
  </numFmts>
  <fonts count="9"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i/>
      <sz val="11"/>
      <color theme="1"/>
      <name val="Calibri"/>
      <family val="2"/>
      <scheme val="minor"/>
    </font>
    <font>
      <b/>
      <sz val="20"/>
      <color theme="1"/>
      <name val="Calibri"/>
      <family val="2"/>
      <scheme val="minor"/>
    </font>
    <font>
      <u/>
      <sz val="11"/>
      <color theme="10"/>
      <name val="Calibri"/>
      <family val="2"/>
      <scheme val="minor"/>
    </font>
    <font>
      <sz val="14"/>
      <color theme="1"/>
      <name val="Calibri"/>
      <family val="2"/>
      <scheme val="minor"/>
    </font>
    <font>
      <u/>
      <sz val="14"/>
      <color theme="10"/>
      <name val="Calibri"/>
      <family val="2"/>
      <scheme val="minor"/>
    </font>
  </fonts>
  <fills count="13">
    <fill>
      <patternFill patternType="none"/>
    </fill>
    <fill>
      <patternFill patternType="gray125"/>
    </fill>
    <fill>
      <patternFill patternType="solid">
        <fgColor theme="5"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FFCC"/>
        <bgColor indexed="64"/>
      </patternFill>
    </fill>
    <fill>
      <patternFill patternType="solid">
        <fgColor rgb="FFFFFF99"/>
        <bgColor indexed="64"/>
      </patternFill>
    </fill>
    <fill>
      <patternFill patternType="solid">
        <fgColor rgb="FFFF9999"/>
        <bgColor indexed="64"/>
      </patternFill>
    </fill>
    <fill>
      <patternFill patternType="solid">
        <fgColor rgb="FFCCCCFF"/>
        <bgColor indexed="64"/>
      </patternFill>
    </fill>
    <fill>
      <patternFill patternType="solid">
        <fgColor rgb="FF9999FF"/>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54">
    <xf numFmtId="0" fontId="0" fillId="0" borderId="0" xfId="0"/>
    <xf numFmtId="2" fontId="0" fillId="0" borderId="0" xfId="0" applyNumberFormat="1"/>
    <xf numFmtId="0" fontId="1" fillId="0" borderId="0" xfId="0" applyFont="1"/>
    <xf numFmtId="0" fontId="3" fillId="0" borderId="0" xfId="0" applyFont="1"/>
    <xf numFmtId="0" fontId="4" fillId="0" borderId="0" xfId="0" applyFont="1"/>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2" fontId="0" fillId="0" borderId="0" xfId="0" applyNumberFormat="1" applyAlignment="1">
      <alignment vertical="center"/>
    </xf>
    <xf numFmtId="0" fontId="1" fillId="0" borderId="0" xfId="0" applyFont="1" applyAlignment="1">
      <alignment vertical="center" wrapText="1"/>
    </xf>
    <xf numFmtId="0" fontId="1" fillId="0" borderId="0" xfId="0" applyFont="1" applyAlignment="1">
      <alignment vertical="center"/>
    </xf>
    <xf numFmtId="167" fontId="1" fillId="0" borderId="0" xfId="0" applyNumberFormat="1" applyFont="1" applyAlignment="1">
      <alignment horizontal="center" vertical="center" wrapText="1"/>
    </xf>
    <xf numFmtId="167" fontId="1" fillId="0" borderId="0" xfId="0" applyNumberFormat="1" applyFont="1" applyAlignment="1">
      <alignment horizontal="center" vertical="center"/>
    </xf>
    <xf numFmtId="2" fontId="1" fillId="0" borderId="0" xfId="0" applyNumberFormat="1" applyFont="1" applyAlignment="1">
      <alignment vertical="center"/>
    </xf>
    <xf numFmtId="0" fontId="0" fillId="0" borderId="0" xfId="0" applyFill="1"/>
    <xf numFmtId="2" fontId="2" fillId="0" borderId="0" xfId="0" applyNumberFormat="1" applyFont="1" applyAlignment="1">
      <alignment vertical="center"/>
    </xf>
    <xf numFmtId="0" fontId="0" fillId="3" borderId="0" xfId="0" applyFill="1" applyAlignment="1">
      <alignment vertical="center"/>
    </xf>
    <xf numFmtId="165" fontId="0" fillId="3" borderId="1" xfId="0" applyNumberFormat="1" applyFill="1" applyBorder="1" applyAlignment="1" applyProtection="1">
      <alignment vertical="center"/>
      <protection locked="0"/>
    </xf>
    <xf numFmtId="165" fontId="0" fillId="0" borderId="0" xfId="0" applyNumberFormat="1" applyAlignment="1">
      <alignment vertical="center"/>
    </xf>
    <xf numFmtId="0" fontId="0" fillId="4" borderId="0" xfId="0" applyFill="1" applyAlignment="1">
      <alignment vertical="center"/>
    </xf>
    <xf numFmtId="165" fontId="0" fillId="4" borderId="1" xfId="0" applyNumberFormat="1" applyFill="1" applyBorder="1" applyAlignment="1" applyProtection="1">
      <alignment vertical="center"/>
      <protection locked="0"/>
    </xf>
    <xf numFmtId="0" fontId="0" fillId="2" borderId="0" xfId="0" applyFill="1" applyAlignment="1">
      <alignment vertical="center"/>
    </xf>
    <xf numFmtId="165" fontId="0" fillId="2" borderId="0" xfId="0" applyNumberFormat="1" applyFill="1" applyAlignment="1">
      <alignment vertical="center"/>
    </xf>
    <xf numFmtId="0" fontId="0" fillId="5" borderId="0" xfId="0" applyFill="1" applyAlignment="1">
      <alignment vertical="center"/>
    </xf>
    <xf numFmtId="165" fontId="0" fillId="5" borderId="0" xfId="0" applyNumberFormat="1" applyFill="1" applyAlignment="1">
      <alignment vertical="center"/>
    </xf>
    <xf numFmtId="0" fontId="0" fillId="6" borderId="0" xfId="0" applyFill="1" applyAlignment="1">
      <alignment vertical="center"/>
    </xf>
    <xf numFmtId="165" fontId="0" fillId="6" borderId="0" xfId="0" applyNumberFormat="1" applyFill="1" applyAlignment="1">
      <alignment vertical="center"/>
    </xf>
    <xf numFmtId="0" fontId="0" fillId="7" borderId="0" xfId="0" applyFill="1" applyAlignment="1">
      <alignment vertical="center"/>
    </xf>
    <xf numFmtId="165" fontId="0" fillId="7" borderId="0" xfId="0" applyNumberFormat="1" applyFill="1" applyAlignment="1">
      <alignment vertical="center"/>
    </xf>
    <xf numFmtId="0" fontId="0" fillId="8" borderId="0" xfId="0" applyFill="1" applyAlignment="1">
      <alignment vertical="center"/>
    </xf>
    <xf numFmtId="165" fontId="0" fillId="8" borderId="0" xfId="0" applyNumberFormat="1" applyFill="1" applyAlignment="1">
      <alignment vertical="center"/>
    </xf>
    <xf numFmtId="0" fontId="0" fillId="9" borderId="0" xfId="0" applyFill="1" applyAlignment="1">
      <alignment vertical="center"/>
    </xf>
    <xf numFmtId="165" fontId="0" fillId="9" borderId="0" xfId="0" applyNumberFormat="1" applyFill="1" applyAlignment="1">
      <alignment vertical="center"/>
    </xf>
    <xf numFmtId="0" fontId="2" fillId="10" borderId="0" xfId="0" applyFont="1" applyFill="1" applyAlignment="1">
      <alignment vertical="center"/>
    </xf>
    <xf numFmtId="165" fontId="2" fillId="10" borderId="0" xfId="0" applyNumberFormat="1" applyFont="1" applyFill="1" applyAlignment="1">
      <alignment vertical="center"/>
    </xf>
    <xf numFmtId="0" fontId="0" fillId="11" borderId="0" xfId="0" applyFill="1" applyAlignment="1">
      <alignment vertical="center"/>
    </xf>
    <xf numFmtId="165" fontId="0" fillId="11" borderId="0" xfId="0" applyNumberFormat="1" applyFill="1" applyAlignment="1">
      <alignment vertical="center"/>
    </xf>
    <xf numFmtId="0" fontId="0" fillId="0" borderId="0" xfId="0" applyFill="1" applyAlignment="1">
      <alignment vertical="center"/>
    </xf>
    <xf numFmtId="165" fontId="0" fillId="0" borderId="0" xfId="0" applyNumberFormat="1" applyFill="1" applyAlignment="1">
      <alignment vertical="center"/>
    </xf>
    <xf numFmtId="0" fontId="0" fillId="11" borderId="0" xfId="0" applyFill="1" applyAlignment="1">
      <alignment vertical="center" wrapText="1"/>
    </xf>
    <xf numFmtId="0" fontId="2" fillId="12" borderId="0" xfId="0" applyFont="1" applyFill="1" applyAlignment="1">
      <alignment vertical="center"/>
    </xf>
    <xf numFmtId="2" fontId="2" fillId="12" borderId="0" xfId="0" applyNumberFormat="1" applyFont="1" applyFill="1" applyAlignment="1">
      <alignment vertical="center"/>
    </xf>
    <xf numFmtId="165" fontId="0" fillId="11" borderId="1" xfId="0" applyNumberFormat="1" applyFill="1" applyBorder="1" applyAlignment="1" applyProtection="1">
      <alignment vertical="center"/>
      <protection locked="0"/>
    </xf>
    <xf numFmtId="0" fontId="6" fillId="0" borderId="0" xfId="1" applyAlignment="1">
      <alignment vertical="center"/>
    </xf>
    <xf numFmtId="0" fontId="5"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ont="1" applyAlignment="1">
      <alignment vertical="center"/>
    </xf>
    <xf numFmtId="0" fontId="6" fillId="0" borderId="0" xfId="1" applyAlignment="1">
      <alignment horizontal="center" vertical="center" wrapText="1"/>
    </xf>
    <xf numFmtId="0" fontId="8" fillId="0" borderId="0" xfId="1"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left" vertical="center" wrapText="1" indent="5"/>
    </xf>
  </cellXfs>
  <cellStyles count="2">
    <cellStyle name="Hyperlink" xfId="1" builtinId="8"/>
    <cellStyle name="Normal" xfId="0" builtinId="0"/>
  </cellStyles>
  <dxfs count="0"/>
  <tableStyles count="0" defaultTableStyle="TableStyleMedium2" defaultPivotStyle="PivotStyleLight16"/>
  <colors>
    <mruColors>
      <color rgb="FF9999FF"/>
      <color rgb="FFCCCCFF"/>
      <color rgb="FFFF99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4267200</xdr:colOff>
      <xdr:row>0</xdr:row>
      <xdr:rowOff>28574</xdr:rowOff>
    </xdr:from>
    <xdr:to>
      <xdr:col>1</xdr:col>
      <xdr:colOff>74808</xdr:colOff>
      <xdr:row>1</xdr:row>
      <xdr:rowOff>142874</xdr:rowOff>
    </xdr:to>
    <xdr:pic>
      <xdr:nvPicPr>
        <xdr:cNvPr id="3" name="Picture 2">
          <a:extLst>
            <a:ext uri="{FF2B5EF4-FFF2-40B4-BE49-F238E27FC236}">
              <a16:creationId xmlns:a16="http://schemas.microsoft.com/office/drawing/2014/main" id="{48B74223-FECE-4B51-BEEB-D6D2E779D8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7200" y="28574"/>
          <a:ext cx="3751458"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im@parksbookkeeping.co.uk" TargetMode="External"/><Relationship Id="rId2" Type="http://schemas.openxmlformats.org/officeDocument/2006/relationships/hyperlink" Target="http://www.parksbookkeeping.co.uk/" TargetMode="External"/><Relationship Id="rId1" Type="http://schemas.openxmlformats.org/officeDocument/2006/relationships/hyperlink" Target="mailto:kim@parksbookkeeping.co.uk?subject=Tax%20calculator%202018/19" TargetMode="External"/><Relationship Id="rId5" Type="http://schemas.openxmlformats.org/officeDocument/2006/relationships/drawing" Target="../drawings/drawing1.xml"/><Relationship Id="rId4" Type="http://schemas.openxmlformats.org/officeDocument/2006/relationships/hyperlink" Target="mailto:kim@parksbookkeeping.co.uk?subject=Tax%20Calculator%202018/1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74FAB-AFFE-44BC-9781-88AF50BD988B}">
  <dimension ref="A1:B32"/>
  <sheetViews>
    <sheetView tabSelected="1" workbookViewId="0">
      <selection activeCell="A24" sqref="A24:B24"/>
    </sheetView>
  </sheetViews>
  <sheetFormatPr defaultRowHeight="15" x14ac:dyDescent="0.25"/>
  <cols>
    <col min="1" max="1" width="119.140625" style="8" customWidth="1"/>
    <col min="2" max="2" width="64.140625" style="9" customWidth="1"/>
    <col min="3" max="16384" width="9.140625" style="9"/>
  </cols>
  <sheetData>
    <row r="1" spans="1:2" ht="62.25" customHeight="1" x14ac:dyDescent="0.25">
      <c r="A1" s="47"/>
      <c r="B1" s="47"/>
    </row>
    <row r="2" spans="1:2" ht="15" customHeight="1" x14ac:dyDescent="0.25">
      <c r="A2" s="47"/>
      <c r="B2" s="47"/>
    </row>
    <row r="3" spans="1:2" ht="26.25" x14ac:dyDescent="0.25">
      <c r="A3" s="46" t="s">
        <v>53</v>
      </c>
      <c r="B3" s="46"/>
    </row>
    <row r="4" spans="1:2" s="49" customFormat="1" ht="18.75" x14ac:dyDescent="0.25">
      <c r="A4" s="51" t="s">
        <v>64</v>
      </c>
      <c r="B4" s="52"/>
    </row>
    <row r="5" spans="1:2" s="49" customFormat="1" x14ac:dyDescent="0.25">
      <c r="A5" s="50" t="s">
        <v>62</v>
      </c>
      <c r="B5" s="50"/>
    </row>
    <row r="6" spans="1:2" ht="7.5" customHeight="1" x14ac:dyDescent="0.25">
      <c r="A6" s="47"/>
      <c r="B6" s="47"/>
    </row>
    <row r="7" spans="1:2" x14ac:dyDescent="0.25">
      <c r="A7" s="48" t="s">
        <v>54</v>
      </c>
      <c r="B7" s="48"/>
    </row>
    <row r="8" spans="1:2" ht="7.5" customHeight="1" x14ac:dyDescent="0.25">
      <c r="A8" s="47"/>
      <c r="B8" s="47"/>
    </row>
    <row r="9" spans="1:2" ht="45" customHeight="1" x14ac:dyDescent="0.25">
      <c r="A9" s="48" t="s">
        <v>55</v>
      </c>
      <c r="B9" s="48"/>
    </row>
    <row r="10" spans="1:2" ht="7.5" customHeight="1" x14ac:dyDescent="0.25">
      <c r="A10" s="47"/>
      <c r="B10" s="47"/>
    </row>
    <row r="11" spans="1:2" x14ac:dyDescent="0.25">
      <c r="A11" s="48" t="s">
        <v>56</v>
      </c>
      <c r="B11" s="48"/>
    </row>
    <row r="12" spans="1:2" ht="7.5" customHeight="1" x14ac:dyDescent="0.25">
      <c r="A12" s="47"/>
      <c r="B12" s="47"/>
    </row>
    <row r="13" spans="1:2" ht="45" customHeight="1" x14ac:dyDescent="0.25">
      <c r="A13" s="48" t="s">
        <v>57</v>
      </c>
      <c r="B13" s="48"/>
    </row>
    <row r="14" spans="1:2" ht="7.5" customHeight="1" x14ac:dyDescent="0.25">
      <c r="A14" s="47"/>
      <c r="B14" s="47"/>
    </row>
    <row r="15" spans="1:2" ht="75" customHeight="1" x14ac:dyDescent="0.25">
      <c r="A15" s="48" t="s">
        <v>58</v>
      </c>
      <c r="B15" s="48"/>
    </row>
    <row r="16" spans="1:2" ht="7.5" customHeight="1" x14ac:dyDescent="0.25">
      <c r="A16" s="47"/>
      <c r="B16" s="47"/>
    </row>
    <row r="17" spans="1:2" ht="45" customHeight="1" x14ac:dyDescent="0.25">
      <c r="A17" s="48" t="s">
        <v>59</v>
      </c>
      <c r="B17" s="48"/>
    </row>
    <row r="18" spans="1:2" ht="7.5" customHeight="1" x14ac:dyDescent="0.25">
      <c r="A18" s="47"/>
      <c r="B18" s="47"/>
    </row>
    <row r="19" spans="1:2" ht="30" customHeight="1" x14ac:dyDescent="0.25">
      <c r="A19" s="48" t="s">
        <v>60</v>
      </c>
      <c r="B19" s="48"/>
    </row>
    <row r="20" spans="1:2" x14ac:dyDescent="0.25">
      <c r="A20" s="53" t="s">
        <v>67</v>
      </c>
      <c r="B20" s="53"/>
    </row>
    <row r="21" spans="1:2" x14ac:dyDescent="0.25">
      <c r="A21" s="53" t="s">
        <v>68</v>
      </c>
      <c r="B21" s="53"/>
    </row>
    <row r="22" spans="1:2" x14ac:dyDescent="0.25">
      <c r="A22" s="53" t="s">
        <v>69</v>
      </c>
      <c r="B22" s="53"/>
    </row>
    <row r="23" spans="1:2" x14ac:dyDescent="0.25">
      <c r="A23" s="53" t="s">
        <v>70</v>
      </c>
      <c r="B23" s="53"/>
    </row>
    <row r="24" spans="1:2" x14ac:dyDescent="0.25">
      <c r="A24" s="53" t="s">
        <v>71</v>
      </c>
      <c r="B24" s="53"/>
    </row>
    <row r="25" spans="1:2" ht="7.5" customHeight="1" x14ac:dyDescent="0.25">
      <c r="A25" s="47"/>
      <c r="B25" s="47"/>
    </row>
    <row r="26" spans="1:2" x14ac:dyDescent="0.25">
      <c r="A26" s="48" t="s">
        <v>72</v>
      </c>
      <c r="B26" s="48"/>
    </row>
    <row r="27" spans="1:2" ht="7.5" customHeight="1" x14ac:dyDescent="0.25">
      <c r="A27" s="47"/>
      <c r="B27" s="47"/>
    </row>
    <row r="28" spans="1:2" x14ac:dyDescent="0.25">
      <c r="A28" s="16" t="s">
        <v>63</v>
      </c>
      <c r="B28" s="45" t="s">
        <v>61</v>
      </c>
    </row>
    <row r="29" spans="1:2" ht="7.5" customHeight="1" x14ac:dyDescent="0.25">
      <c r="A29" s="47"/>
      <c r="B29" s="47"/>
    </row>
    <row r="30" spans="1:2" x14ac:dyDescent="0.25">
      <c r="A30" s="48" t="s">
        <v>65</v>
      </c>
      <c r="B30" s="48"/>
    </row>
    <row r="31" spans="1:2" ht="7.5" customHeight="1" x14ac:dyDescent="0.25">
      <c r="A31" s="47"/>
      <c r="B31" s="47"/>
    </row>
    <row r="32" spans="1:2" x14ac:dyDescent="0.25">
      <c r="A32" s="48" t="s">
        <v>66</v>
      </c>
      <c r="B32" s="48"/>
    </row>
  </sheetData>
  <sheetProtection algorithmName="SHA-512" hashValue="rp2oL1pT+5Qavo5k3/Edd1hLPnl5dJs7E5qmdQRVfuvtpQ1nbSNkh19eYzEPtw6J50mCsrULlxtv0xEkivNr8w==" saltValue="whD2ntJMmN53BdMWrxgF7w==" spinCount="100000" sheet="1" objects="1" scenarios="1"/>
  <mergeCells count="31">
    <mergeCell ref="A25:B25"/>
    <mergeCell ref="A29:B29"/>
    <mergeCell ref="A30:B30"/>
    <mergeCell ref="A31:B31"/>
    <mergeCell ref="A32:B32"/>
    <mergeCell ref="A26:B26"/>
    <mergeCell ref="A27:B27"/>
    <mergeCell ref="A20:B20"/>
    <mergeCell ref="A21:B21"/>
    <mergeCell ref="A22:B22"/>
    <mergeCell ref="A23:B23"/>
    <mergeCell ref="A24:B24"/>
    <mergeCell ref="A6:B6"/>
    <mergeCell ref="A8:B8"/>
    <mergeCell ref="A10:B10"/>
    <mergeCell ref="A12:B12"/>
    <mergeCell ref="A13:B13"/>
    <mergeCell ref="A15:B15"/>
    <mergeCell ref="A1:B1"/>
    <mergeCell ref="A2:B2"/>
    <mergeCell ref="A17:B17"/>
    <mergeCell ref="A19:B19"/>
    <mergeCell ref="A14:B14"/>
    <mergeCell ref="A16:B16"/>
    <mergeCell ref="A18:B18"/>
    <mergeCell ref="A3:B3"/>
    <mergeCell ref="A7:B7"/>
    <mergeCell ref="A9:B9"/>
    <mergeCell ref="A11:B11"/>
    <mergeCell ref="A4:B4"/>
    <mergeCell ref="A5:B5"/>
  </mergeCells>
  <hyperlinks>
    <hyperlink ref="B28" r:id="rId1" xr:uid="{65681DDA-D25A-4873-BC93-F5D03BE3192B}"/>
    <hyperlink ref="A4" r:id="rId2" xr:uid="{61645BA9-6F69-4287-ADE4-C01EFA9C2575}"/>
    <hyperlink ref="A5" r:id="rId3" xr:uid="{88C74C1F-1EDE-418A-ACBD-4106647FAD95}"/>
    <hyperlink ref="A5:B5" r:id="rId4" display="kim@parksbookkeeping.co.uk" xr:uid="{85C99A24-A466-4810-AD96-F38B6F522634}"/>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47B82-7F30-4F26-8404-E622EB99381D}">
  <dimension ref="A1:D30"/>
  <sheetViews>
    <sheetView workbookViewId="0">
      <selection activeCell="B16" sqref="B16"/>
    </sheetView>
  </sheetViews>
  <sheetFormatPr defaultRowHeight="15" x14ac:dyDescent="0.25"/>
  <cols>
    <col min="1" max="1" width="46.42578125" style="9" customWidth="1"/>
    <col min="2" max="2" width="16.28515625" style="10" customWidth="1"/>
    <col min="3" max="3" width="2.140625" style="9" customWidth="1"/>
    <col min="4" max="16384" width="9.140625" style="9"/>
  </cols>
  <sheetData>
    <row r="1" spans="1:4" s="6" customFormat="1" ht="21" x14ac:dyDescent="0.25">
      <c r="A1" s="5" t="s">
        <v>33</v>
      </c>
      <c r="B1" s="17"/>
    </row>
    <row r="2" spans="1:4" s="6" customFormat="1" ht="18.75" x14ac:dyDescent="0.25">
      <c r="A2" s="6" t="s">
        <v>1</v>
      </c>
      <c r="B2" s="17"/>
    </row>
    <row r="3" spans="1:4" ht="15.75" thickBot="1" x14ac:dyDescent="0.3"/>
    <row r="4" spans="1:4" ht="15.75" thickBot="1" x14ac:dyDescent="0.3">
      <c r="A4" s="18" t="s">
        <v>2</v>
      </c>
      <c r="B4" s="19"/>
      <c r="D4" s="9" t="s">
        <v>47</v>
      </c>
    </row>
    <row r="5" spans="1:4" ht="7.5" customHeight="1" thickBot="1" x14ac:dyDescent="0.3">
      <c r="B5" s="20"/>
    </row>
    <row r="6" spans="1:4" ht="15.75" thickBot="1" x14ac:dyDescent="0.3">
      <c r="A6" s="21" t="s">
        <v>3</v>
      </c>
      <c r="B6" s="22"/>
      <c r="D6" s="9" t="s">
        <v>48</v>
      </c>
    </row>
    <row r="7" spans="1:4" ht="7.5" customHeight="1" x14ac:dyDescent="0.25">
      <c r="B7" s="20"/>
    </row>
    <row r="8" spans="1:4" ht="14.25" customHeight="1" x14ac:dyDescent="0.25">
      <c r="A8" s="23" t="s">
        <v>44</v>
      </c>
      <c r="B8" s="24">
        <f>IF(B6&gt;2000,B6-2000,0)</f>
        <v>0</v>
      </c>
    </row>
    <row r="9" spans="1:4" ht="7.5" customHeight="1" x14ac:dyDescent="0.25">
      <c r="B9" s="20"/>
    </row>
    <row r="10" spans="1:4" x14ac:dyDescent="0.25">
      <c r="A10" s="25" t="s">
        <v>4</v>
      </c>
      <c r="B10" s="26">
        <f>B4+B6</f>
        <v>0</v>
      </c>
    </row>
    <row r="11" spans="1:4" ht="7.5" customHeight="1" x14ac:dyDescent="0.25">
      <c r="B11" s="20"/>
    </row>
    <row r="12" spans="1:4" x14ac:dyDescent="0.25">
      <c r="A12" s="27" t="s">
        <v>5</v>
      </c>
      <c r="B12" s="28">
        <f>B4+B8</f>
        <v>0</v>
      </c>
    </row>
    <row r="13" spans="1:4" ht="7.5" customHeight="1" x14ac:dyDescent="0.25">
      <c r="B13" s="20"/>
    </row>
    <row r="14" spans="1:4" x14ac:dyDescent="0.25">
      <c r="A14" s="29" t="s">
        <v>6</v>
      </c>
      <c r="B14" s="30">
        <f>Dividends!P10</f>
        <v>0</v>
      </c>
    </row>
    <row r="15" spans="1:4" ht="7.5" customHeight="1" x14ac:dyDescent="0.25">
      <c r="B15" s="20"/>
    </row>
    <row r="16" spans="1:4" x14ac:dyDescent="0.25">
      <c r="A16" s="31" t="s">
        <v>7</v>
      </c>
      <c r="B16" s="32">
        <f>MAX(IF(B4&lt;='Rates and Allowances 2018-19'!B18, (((B4-'Rates and Allowances 2018-19'!B17)*'Rates and Allowances 2018-19'!B21)/100), IF(B4&gt;'Rates and Allowances 2018-19'!B18,((((B4-'Rates and Allowances 2018-19'!B18)*'Rates and Allowances 2018-19'!B22)/100)+((('Rates and Allowances 2018-19'!B18-'Rates and Allowances 2018-19'!B17)*'Rates and Allowances 2018-19'!B21)/100)),"False")),0)</f>
        <v>0</v>
      </c>
    </row>
    <row r="17" spans="1:4" ht="7.5" customHeight="1" x14ac:dyDescent="0.25">
      <c r="B17" s="20"/>
    </row>
    <row r="18" spans="1:4" x14ac:dyDescent="0.25">
      <c r="A18" s="23" t="s">
        <v>8</v>
      </c>
      <c r="B18" s="24">
        <f>Dividends!P14</f>
        <v>0</v>
      </c>
    </row>
    <row r="19" spans="1:4" ht="7.5" customHeight="1" x14ac:dyDescent="0.25">
      <c r="B19" s="20"/>
    </row>
    <row r="20" spans="1:4" x14ac:dyDescent="0.25">
      <c r="A20" s="33" t="s">
        <v>9</v>
      </c>
      <c r="B20" s="34">
        <f>B14+B16+B18</f>
        <v>0</v>
      </c>
    </row>
    <row r="21" spans="1:4" ht="7.5" customHeight="1" x14ac:dyDescent="0.25">
      <c r="B21" s="20"/>
    </row>
    <row r="22" spans="1:4" ht="18.75" x14ac:dyDescent="0.25">
      <c r="A22" s="35" t="s">
        <v>10</v>
      </c>
      <c r="B22" s="36">
        <f>B10-B20</f>
        <v>0</v>
      </c>
    </row>
    <row r="23" spans="1:4" x14ac:dyDescent="0.25">
      <c r="B23" s="20"/>
    </row>
    <row r="24" spans="1:4" x14ac:dyDescent="0.25">
      <c r="A24" s="37" t="s">
        <v>11</v>
      </c>
      <c r="B24" s="38">
        <f>MAX(IF(B4&lt;='Rates and Allowances 2018-19'!B18, (((B4-'Rates and Allowances 2018-19'!B17)*'Rates and Allowances 2018-19'!B25)/100), IF(B4&gt;'Rates and Allowances 2018-19'!B18,((((B4-'Rates and Allowances 2018-19'!B18)*'Rates and Allowances 2018-19'!B26)/100)+((('Rates and Allowances 2018-19'!B18-'Rates and Allowances 2018-19'!B17)*'Rates and Allowances 2018-19'!B25)/100)),"False")),0)</f>
        <v>0</v>
      </c>
    </row>
    <row r="25" spans="1:4" s="39" customFormat="1" ht="7.5" customHeight="1" thickBot="1" x14ac:dyDescent="0.3">
      <c r="B25" s="40"/>
    </row>
    <row r="26" spans="1:4" ht="15.75" thickBot="1" x14ac:dyDescent="0.3">
      <c r="A26" s="41" t="s">
        <v>49</v>
      </c>
      <c r="B26" s="44"/>
      <c r="D26" s="9" t="s">
        <v>52</v>
      </c>
    </row>
    <row r="27" spans="1:4" s="39" customFormat="1" ht="7.5" customHeight="1" x14ac:dyDescent="0.25">
      <c r="B27" s="40"/>
    </row>
    <row r="28" spans="1:4" x14ac:dyDescent="0.25">
      <c r="A28" s="37" t="s">
        <v>50</v>
      </c>
      <c r="B28" s="38">
        <f>B4+B24+B26</f>
        <v>0</v>
      </c>
    </row>
    <row r="29" spans="1:4" ht="7.5" customHeight="1" x14ac:dyDescent="0.25"/>
    <row r="30" spans="1:4" ht="18.75" customHeight="1" x14ac:dyDescent="0.25">
      <c r="A30" s="42" t="s">
        <v>51</v>
      </c>
      <c r="B30" s="43">
        <f>B28*0.19</f>
        <v>0</v>
      </c>
    </row>
  </sheetData>
  <sheetProtection algorithmName="SHA-512" hashValue="SuzpGdxhqmg+s/46UJdp4WFI7rQxKLbLl6iJPW/DbN9M+QD4h6B7QtzKIANfPKDDYLjy6Do3fW+0ZTPuHhXa3g==" saltValue="WmN1dRLp5mhYAJ2vYmPdk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A9F99-D525-4A99-9012-F47E5CBC75A8}">
  <dimension ref="A1:B34"/>
  <sheetViews>
    <sheetView workbookViewId="0">
      <selection activeCell="B10" sqref="B10"/>
    </sheetView>
  </sheetViews>
  <sheetFormatPr defaultRowHeight="15" x14ac:dyDescent="0.25"/>
  <cols>
    <col min="1" max="1" width="46.5703125" bestFit="1" customWidth="1"/>
    <col min="2" max="2" width="11.5703125" style="1" customWidth="1"/>
  </cols>
  <sheetData>
    <row r="1" spans="1:2" ht="21" x14ac:dyDescent="0.35">
      <c r="A1" s="3" t="s">
        <v>14</v>
      </c>
    </row>
    <row r="3" spans="1:2" x14ac:dyDescent="0.25">
      <c r="A3" s="2" t="s">
        <v>13</v>
      </c>
    </row>
    <row r="4" spans="1:2" ht="7.5" customHeight="1" x14ac:dyDescent="0.25"/>
    <row r="5" spans="1:2" x14ac:dyDescent="0.25">
      <c r="A5" t="s">
        <v>15</v>
      </c>
      <c r="B5" s="1">
        <v>11850</v>
      </c>
    </row>
    <row r="6" spans="1:2" x14ac:dyDescent="0.25">
      <c r="A6" t="s">
        <v>22</v>
      </c>
      <c r="B6" s="1">
        <v>123700</v>
      </c>
    </row>
    <row r="7" spans="1:2" x14ac:dyDescent="0.25">
      <c r="A7" t="s">
        <v>18</v>
      </c>
      <c r="B7" s="1">
        <v>34500</v>
      </c>
    </row>
    <row r="8" spans="1:2" x14ac:dyDescent="0.25">
      <c r="A8" t="s">
        <v>16</v>
      </c>
      <c r="B8" s="1">
        <v>20</v>
      </c>
    </row>
    <row r="9" spans="1:2" x14ac:dyDescent="0.25">
      <c r="A9" t="s">
        <v>19</v>
      </c>
      <c r="B9" s="1">
        <v>150000</v>
      </c>
    </row>
    <row r="10" spans="1:2" x14ac:dyDescent="0.25">
      <c r="A10" t="s">
        <v>17</v>
      </c>
      <c r="B10" s="1">
        <v>40</v>
      </c>
    </row>
    <row r="11" spans="1:2" x14ac:dyDescent="0.25">
      <c r="A11" t="s">
        <v>21</v>
      </c>
      <c r="B11" s="1">
        <v>150000</v>
      </c>
    </row>
    <row r="12" spans="1:2" x14ac:dyDescent="0.25">
      <c r="A12" t="s">
        <v>20</v>
      </c>
      <c r="B12" s="1">
        <v>45</v>
      </c>
    </row>
    <row r="15" spans="1:2" x14ac:dyDescent="0.25">
      <c r="A15" s="2" t="s">
        <v>12</v>
      </c>
    </row>
    <row r="16" spans="1:2" ht="7.5" customHeight="1" x14ac:dyDescent="0.25"/>
    <row r="17" spans="1:2" x14ac:dyDescent="0.25">
      <c r="A17" t="s">
        <v>28</v>
      </c>
      <c r="B17" s="1">
        <v>8424</v>
      </c>
    </row>
    <row r="18" spans="1:2" x14ac:dyDescent="0.25">
      <c r="A18" t="s">
        <v>23</v>
      </c>
      <c r="B18" s="1">
        <v>46350</v>
      </c>
    </row>
    <row r="19" spans="1:2" ht="7.5" customHeight="1" x14ac:dyDescent="0.25"/>
    <row r="20" spans="1:2" x14ac:dyDescent="0.25">
      <c r="A20" s="4" t="s">
        <v>26</v>
      </c>
    </row>
    <row r="21" spans="1:2" x14ac:dyDescent="0.25">
      <c r="A21" t="s">
        <v>24</v>
      </c>
      <c r="B21" s="1">
        <v>12</v>
      </c>
    </row>
    <row r="22" spans="1:2" x14ac:dyDescent="0.25">
      <c r="A22" t="s">
        <v>25</v>
      </c>
      <c r="B22" s="1">
        <v>2</v>
      </c>
    </row>
    <row r="23" spans="1:2" ht="7.5" customHeight="1" x14ac:dyDescent="0.25"/>
    <row r="24" spans="1:2" x14ac:dyDescent="0.25">
      <c r="A24" s="4" t="s">
        <v>27</v>
      </c>
    </row>
    <row r="25" spans="1:2" x14ac:dyDescent="0.25">
      <c r="A25" t="s">
        <v>24</v>
      </c>
      <c r="B25" s="1">
        <v>13.8</v>
      </c>
    </row>
    <row r="26" spans="1:2" x14ac:dyDescent="0.25">
      <c r="A26" t="s">
        <v>25</v>
      </c>
      <c r="B26" s="1">
        <v>13.8</v>
      </c>
    </row>
    <row r="29" spans="1:2" x14ac:dyDescent="0.25">
      <c r="A29" s="2" t="s">
        <v>29</v>
      </c>
    </row>
    <row r="30" spans="1:2" ht="7.5" customHeight="1" x14ac:dyDescent="0.25"/>
    <row r="31" spans="1:2" x14ac:dyDescent="0.25">
      <c r="A31" t="s">
        <v>30</v>
      </c>
      <c r="B31" s="1">
        <v>2000</v>
      </c>
    </row>
    <row r="32" spans="1:2" x14ac:dyDescent="0.25">
      <c r="A32" t="s">
        <v>31</v>
      </c>
      <c r="B32" s="1">
        <v>7.5</v>
      </c>
    </row>
    <row r="33" spans="1:2" x14ac:dyDescent="0.25">
      <c r="A33" t="s">
        <v>32</v>
      </c>
      <c r="B33" s="1">
        <v>32.5</v>
      </c>
    </row>
    <row r="34" spans="1:2" x14ac:dyDescent="0.25">
      <c r="A34" t="s">
        <v>20</v>
      </c>
      <c r="B34" s="1">
        <v>38.1</v>
      </c>
    </row>
  </sheetData>
  <sheetProtection algorithmName="SHA-512" hashValue="aTlPazmbDvS5aE6W+OdcIIHyzZU2ei+dR2CncoFprPxk5+TR8QI7Ao/S5ivzGUy+XtDy/xDI52ee7coD13i52Q==" saltValue="TcYgChQdDcsBCJoLfMLtQg=="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E1318-41D4-4F8A-8C5F-E178A11EFDEF}">
  <dimension ref="A1:P16"/>
  <sheetViews>
    <sheetView workbookViewId="0">
      <selection activeCell="L10" sqref="L10"/>
    </sheetView>
  </sheetViews>
  <sheetFormatPr defaultRowHeight="15" x14ac:dyDescent="0.25"/>
  <cols>
    <col min="1" max="1" width="18.7109375" style="9" customWidth="1"/>
    <col min="2" max="2" width="12.85546875" style="9" customWidth="1"/>
    <col min="3" max="3" width="2.85546875" style="9" customWidth="1"/>
    <col min="4" max="4" width="12.85546875" style="9" customWidth="1"/>
    <col min="5" max="5" width="2.85546875" style="9" customWidth="1"/>
    <col min="6" max="6" width="12.85546875" style="9" customWidth="1"/>
    <col min="7" max="7" width="2.85546875" style="9" customWidth="1"/>
    <col min="8" max="8" width="12.85546875" style="9" customWidth="1"/>
    <col min="9" max="9" width="2.85546875" style="9" customWidth="1"/>
    <col min="10" max="10" width="12.85546875" style="9" customWidth="1"/>
    <col min="11" max="11" width="2.85546875" style="9" customWidth="1"/>
    <col min="12" max="12" width="12.85546875" style="9" customWidth="1"/>
    <col min="13" max="13" width="2.85546875" style="9" customWidth="1"/>
    <col min="14" max="14" width="12.85546875" style="9" customWidth="1"/>
    <col min="15" max="15" width="2.85546875" style="9" customWidth="1"/>
    <col min="16" max="16" width="12.85546875" style="9" customWidth="1"/>
    <col min="17" max="16384" width="9.140625" style="9"/>
  </cols>
  <sheetData>
    <row r="1" spans="1:16" s="5" customFormat="1" ht="21" x14ac:dyDescent="0.25">
      <c r="A1" s="5" t="s">
        <v>43</v>
      </c>
    </row>
    <row r="2" spans="1:16" s="6" customFormat="1" ht="18.75" x14ac:dyDescent="0.25">
      <c r="A2" s="6" t="s">
        <v>0</v>
      </c>
    </row>
    <row r="4" spans="1:16" s="7" customFormat="1" ht="30" x14ac:dyDescent="0.25">
      <c r="B4" s="7" t="s">
        <v>15</v>
      </c>
      <c r="D4" s="7" t="s">
        <v>34</v>
      </c>
      <c r="F4" s="7" t="s">
        <v>40</v>
      </c>
      <c r="H4" s="7" t="s">
        <v>40</v>
      </c>
      <c r="J4" s="7" t="s">
        <v>35</v>
      </c>
      <c r="L4" s="7" t="s">
        <v>36</v>
      </c>
      <c r="N4" s="7" t="s">
        <v>45</v>
      </c>
      <c r="P4" s="7" t="s">
        <v>46</v>
      </c>
    </row>
    <row r="5" spans="1:16" s="11" customFormat="1" x14ac:dyDescent="0.25">
      <c r="L5" s="7" t="s">
        <v>37</v>
      </c>
    </row>
    <row r="6" spans="1:16" s="12" customFormat="1" x14ac:dyDescent="0.25">
      <c r="B6" s="13">
        <f>'Rates and Allowances 2018-19'!B5</f>
        <v>11850</v>
      </c>
      <c r="C6" s="13"/>
      <c r="D6" s="13">
        <f>'Rates and Allowances 2018-19'!B7</f>
        <v>34500</v>
      </c>
      <c r="E6" s="13"/>
      <c r="F6" s="13">
        <v>100000</v>
      </c>
      <c r="G6" s="13"/>
      <c r="H6" s="13">
        <f>'Rates and Allowances 2018-19'!B6</f>
        <v>123700</v>
      </c>
      <c r="I6" s="13"/>
      <c r="J6" s="13">
        <f>'Rates and Allowances 2018-19'!B9</f>
        <v>150000</v>
      </c>
      <c r="K6" s="14"/>
      <c r="L6" s="14">
        <f>'Rates and Allowances 2018-19'!B11</f>
        <v>150000</v>
      </c>
    </row>
    <row r="8" spans="1:16" x14ac:dyDescent="0.25">
      <c r="A8" s="9" t="s">
        <v>38</v>
      </c>
      <c r="B8" s="10">
        <f>IF(Calculator!$B$4&lt;=Dividends!$B$6,Calculator!$B$4,Dividends!$B$6)</f>
        <v>0</v>
      </c>
      <c r="C8" s="10"/>
      <c r="D8" s="10">
        <f>MAX(IF(Calculator!$B$4&lt;=Dividends!$D$6+$B$6,Calculator!$B$4-Dividends!$B$6,Dividends!$D$6),0)</f>
        <v>0</v>
      </c>
      <c r="E8" s="10"/>
      <c r="F8" s="10">
        <f>MAX(IF(Calculator!$B$4&lt;=Dividends!$F$6,Calculator!$B$4-Dividends!$D$6-$B$6,Dividends!$F$6-$D$6-$B$6),0)</f>
        <v>0</v>
      </c>
      <c r="G8" s="10"/>
      <c r="H8" s="10">
        <f>MAX(IF(Calculator!$B$4&lt;=Dividends!$H$6,Calculator!$B$4-Dividends!$F$6,Dividends!$H$6-$F$6),0)</f>
        <v>0</v>
      </c>
      <c r="I8" s="10"/>
      <c r="J8" s="10">
        <f>MAX(IF(Calculator!$B$4&lt;=Dividends!$J$6,Calculator!$B$4-Dividends!$H$6,Dividends!$J$6-$H$6),0)</f>
        <v>0</v>
      </c>
      <c r="K8" s="10"/>
      <c r="L8" s="10">
        <f>MAX(IF(Calculator!$B$4&gt;Dividends!$L$6,Calculator!$B$4-Dividends!$L$6,0),0)</f>
        <v>0</v>
      </c>
      <c r="M8" s="10"/>
      <c r="N8" s="15">
        <f>SUM(B8:M8)</f>
        <v>0</v>
      </c>
    </row>
    <row r="9" spans="1:16" x14ac:dyDescent="0.25">
      <c r="B9" s="10"/>
      <c r="C9" s="10"/>
      <c r="D9" s="10"/>
      <c r="E9" s="10"/>
      <c r="F9" s="10"/>
      <c r="G9" s="10"/>
      <c r="H9" s="10"/>
      <c r="I9" s="10"/>
      <c r="J9" s="10"/>
      <c r="K9" s="10"/>
      <c r="L9" s="10"/>
      <c r="M9" s="10"/>
      <c r="N9" s="10"/>
    </row>
    <row r="10" spans="1:16" x14ac:dyDescent="0.25">
      <c r="A10" s="9" t="s">
        <v>41</v>
      </c>
      <c r="B10" s="10">
        <f>IF(Calculator!$B$12&lt;=100000, 0, IF(Calculator!$B$12&lt;=Dividends!$H$6, ((((Calculator!$B$12-100000)/2)*'Rates and Allowances 2018-19'!$B$10)/100), ((Dividends!$B$8*'Rates and Allowances 2018-19'!$B$10)/100)))</f>
        <v>0</v>
      </c>
      <c r="C10" s="10"/>
      <c r="D10" s="10">
        <f>($D$8*'Rates and Allowances 2018-19'!$B$8)/100</f>
        <v>0</v>
      </c>
      <c r="E10" s="10"/>
      <c r="F10" s="10">
        <f>($F$8*'Rates and Allowances 2018-19'!$B$10)/100</f>
        <v>0</v>
      </c>
      <c r="G10" s="10"/>
      <c r="H10" s="10">
        <f>($H$8*'Rates and Allowances 2018-19'!$B$10)/100</f>
        <v>0</v>
      </c>
      <c r="I10" s="10"/>
      <c r="J10" s="10">
        <f>($J$8*'Rates and Allowances 2018-19'!$B$10)/100</f>
        <v>0</v>
      </c>
      <c r="K10" s="10"/>
      <c r="L10" s="10">
        <f>($L$8*'Rates and Allowances 2018-19'!$B$12)/100</f>
        <v>0</v>
      </c>
      <c r="M10" s="10"/>
      <c r="P10" s="15">
        <f>SUM(B10:M10)</f>
        <v>0</v>
      </c>
    </row>
    <row r="11" spans="1:16" x14ac:dyDescent="0.25">
      <c r="B11" s="10"/>
      <c r="C11" s="10"/>
      <c r="D11" s="10"/>
      <c r="E11" s="10"/>
      <c r="F11" s="10"/>
      <c r="G11" s="10"/>
      <c r="H11" s="10"/>
      <c r="I11" s="10"/>
      <c r="J11" s="10"/>
      <c r="K11" s="10"/>
      <c r="L11" s="10"/>
      <c r="M11" s="10"/>
      <c r="N11" s="10"/>
    </row>
    <row r="12" spans="1:16" x14ac:dyDescent="0.25">
      <c r="A12" s="9" t="s">
        <v>39</v>
      </c>
      <c r="B12" s="10">
        <f>MAX(IF(AND($B$6-$B$8&gt;0,Calculator!$B$12&lt;Dividends!$B$6),Calculator!$B$12-Calculator!$B$4,IF(AND($B$6-$B$8&gt;0,Calculator!$B$12&gt;Dividends!$B$6),$B$6-Calculator!$B$4,0)),0)</f>
        <v>0</v>
      </c>
      <c r="C12" s="10"/>
      <c r="D12" s="10">
        <f>MAX(IF(AND($D$6-$D$8&gt;0,Calculator!$B$12&lt;Dividends!$B$6+$D$6),Calculator!$B$12-Calculator!$B$4-$B$12,IF(AND($D$6-$D$8&gt;0,Calculator!$B$12&gt;Dividends!$B$6+$D$6),($B$6+$D$6)-Calculator!$B$4-Dividends!$B$12,0)),0)</f>
        <v>0</v>
      </c>
      <c r="E12" s="10"/>
      <c r="F12" s="10">
        <f>MAX(IF(AND($F$6-$F$8&gt;0,Calculator!$B$12&lt;Dividends!$F$6),Calculator!$B$12-Calculator!$B$4-$B$12-$D$12,IF(AND($F$6-$F$8&gt;0,Calculator!$B$12&gt;Dividends!$F$6),($F$6)-Calculator!$B$4-$B$12-$D$12,0)),0)</f>
        <v>0</v>
      </c>
      <c r="G12" s="10"/>
      <c r="H12" s="10">
        <f>MAX(IF(AND($H$6-$H$8&gt;0,Calculator!$B$12&lt;Dividends!$H$6),Calculator!$B$12-Calculator!$B$4-$B$12-$D$12-$F$12,IF(AND($H$6-$H$8&gt;0,Calculator!$B$12&gt;Dividends!$H$6),($H$6)-Calculator!$B$4-$B$12-$D$12-$F$12,0)),0)</f>
        <v>0</v>
      </c>
      <c r="I12" s="10"/>
      <c r="J12" s="10">
        <f>MAX(IF(AND($J$6-$J$8&gt;0,Calculator!$B$12&lt;Dividends!$J$6),Calculator!$B$12-Calculator!$B$4-$B$12-$D$12-$F$12-$H$12,IF(AND($J$6-$J$8&gt;0,Calculator!$B$12&gt;Dividends!$J$6),($J$6)-Calculator!$B$4-$B$12-$D$12-$F$12-$H$12,0)),0)</f>
        <v>0</v>
      </c>
      <c r="K12" s="10"/>
      <c r="L12" s="10">
        <f>MAX(IF(AND($J$6-$J$8&gt;0,Calculator!$B$12&gt;150000),Calculator!$B$12-Calculator!$B$4-$B$12-$D$12-$F$12-$H$12-$J$12,IF(AND($J$6-$J$8&gt;0,Calculator!$B$12&gt;150000),Calculator!$B$12-Calculator!$B$4,0)),0)</f>
        <v>0</v>
      </c>
      <c r="M12" s="10"/>
      <c r="N12" s="15">
        <f>SUM(B12:M12)</f>
        <v>0</v>
      </c>
    </row>
    <row r="13" spans="1:16" x14ac:dyDescent="0.25">
      <c r="B13" s="10"/>
      <c r="C13" s="10"/>
      <c r="D13" s="10"/>
      <c r="E13" s="10"/>
      <c r="F13" s="10"/>
      <c r="G13" s="10"/>
      <c r="H13" s="10"/>
      <c r="I13" s="10"/>
      <c r="J13" s="10"/>
      <c r="K13" s="10"/>
      <c r="L13" s="10"/>
      <c r="M13" s="10"/>
      <c r="N13" s="10"/>
    </row>
    <row r="14" spans="1:16" x14ac:dyDescent="0.25">
      <c r="A14" s="9" t="s">
        <v>42</v>
      </c>
      <c r="B14" s="10">
        <f>B12*0</f>
        <v>0</v>
      </c>
      <c r="C14" s="10"/>
      <c r="D14" s="10">
        <f>(D12*'Rates and Allowances 2018-19'!B32)/100</f>
        <v>0</v>
      </c>
      <c r="E14" s="10"/>
      <c r="F14" s="10">
        <f>($F$12*'Rates and Allowances 2018-19'!$B$33)/100</f>
        <v>0</v>
      </c>
      <c r="G14" s="10"/>
      <c r="H14" s="10">
        <f>($H$12*'Rates and Allowances 2018-19'!$B$33)/100</f>
        <v>0</v>
      </c>
      <c r="I14" s="10"/>
      <c r="J14" s="10">
        <f>($J$12*'Rates and Allowances 2018-19'!$B$33)/100</f>
        <v>0</v>
      </c>
      <c r="K14" s="10"/>
      <c r="L14" s="10">
        <f>($L$12*'Rates and Allowances 2018-19'!$B$34)/100</f>
        <v>0</v>
      </c>
      <c r="M14" s="10"/>
      <c r="P14" s="15">
        <f>SUM(B14:M14)</f>
        <v>0</v>
      </c>
    </row>
    <row r="16" spans="1:16" x14ac:dyDescent="0.25">
      <c r="N16" s="10">
        <f>IF(SUM(N8:N15)=Calculator!B12, SUM(N8:N15), "False")</f>
        <v>0</v>
      </c>
      <c r="P16" s="10">
        <f>SUM(P8:P15)</f>
        <v>0</v>
      </c>
    </row>
  </sheetData>
  <sheetProtection algorithmName="SHA-512" hashValue="pXFBLAr8Xq3/9XWkCe+dsyabzQ4eEh2nvkBgkefsmVku4nKxTu7NSeKgFWnvaQap5JsgV6EN9iZCFJMk3CbnhQ==" saltValue="dB0ntWZwba404beYFzsgF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Calculator</vt:lpstr>
      <vt:lpstr>Rates and Allowances 2018-19</vt:lpstr>
      <vt:lpstr>Dividends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Parks</dc:creator>
  <cp:lastModifiedBy>Kim Parks</cp:lastModifiedBy>
  <dcterms:created xsi:type="dcterms:W3CDTF">2018-03-07T04:54:58Z</dcterms:created>
  <dcterms:modified xsi:type="dcterms:W3CDTF">2018-03-11T11:55:45Z</dcterms:modified>
</cp:coreProperties>
</file>